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Documents\Marxis Solution\Pages All\Financial Model Template\"/>
    </mc:Choice>
  </mc:AlternateContent>
  <xr:revisionPtr revIDLastSave="0" documentId="8_{0E374C97-2A14-48B1-B879-07DC855BBC09}" xr6:coauthVersionLast="47" xr6:coauthVersionMax="47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Read Me" sheetId="1" r:id="rId1"/>
    <sheet name="Assumptions" sheetId="2" r:id="rId2"/>
    <sheet name="12-Month Projection" sheetId="3" r:id="rId3"/>
    <sheet name="Summary Dashboard" sheetId="4" r:id="rId4"/>
    <sheet name="Balance Sheet Snapsho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" i="4" l="1"/>
  <c r="C8" i="4"/>
  <c r="B8" i="4"/>
  <c r="B27" i="3"/>
  <c r="C27" i="3" s="1"/>
  <c r="C30" i="3" s="1"/>
  <c r="B26" i="3"/>
  <c r="B17" i="3"/>
  <c r="C17" i="3" s="1"/>
  <c r="C20" i="3" s="1"/>
  <c r="B16" i="3"/>
  <c r="C16" i="3" s="1"/>
  <c r="B7" i="3"/>
  <c r="C7" i="3" s="1"/>
  <c r="C10" i="3" s="1"/>
  <c r="E6" i="3"/>
  <c r="F6" i="3" s="1"/>
  <c r="D6" i="3"/>
  <c r="D9" i="3" s="1"/>
  <c r="B6" i="3"/>
  <c r="C6" i="3" s="1"/>
  <c r="G6" i="3" l="1"/>
  <c r="F9" i="3"/>
  <c r="E9" i="3"/>
  <c r="C19" i="3"/>
  <c r="C18" i="3"/>
  <c r="C22" i="3" s="1"/>
  <c r="D17" i="3"/>
  <c r="D16" i="3"/>
  <c r="C9" i="3"/>
  <c r="C8" i="3"/>
  <c r="C12" i="3" s="1"/>
  <c r="D7" i="3"/>
  <c r="D27" i="3"/>
  <c r="B8" i="3"/>
  <c r="B9" i="3"/>
  <c r="B10" i="3"/>
  <c r="B18" i="3"/>
  <c r="B19" i="3"/>
  <c r="B20" i="3"/>
  <c r="B28" i="3"/>
  <c r="B29" i="3"/>
  <c r="B30" i="3"/>
  <c r="C26" i="3"/>
  <c r="B12" i="3" l="1"/>
  <c r="B11" i="3"/>
  <c r="B22" i="3"/>
  <c r="B21" i="3"/>
  <c r="D30" i="3"/>
  <c r="E27" i="3"/>
  <c r="D20" i="3"/>
  <c r="E17" i="3"/>
  <c r="C29" i="3"/>
  <c r="C28" i="3"/>
  <c r="C32" i="3" s="1"/>
  <c r="D26" i="3"/>
  <c r="B32" i="3"/>
  <c r="B31" i="3"/>
  <c r="D8" i="3"/>
  <c r="D12" i="3" s="1"/>
  <c r="E7" i="3"/>
  <c r="D10" i="3"/>
  <c r="D18" i="3"/>
  <c r="D22" i="3" s="1"/>
  <c r="E16" i="3"/>
  <c r="D19" i="3"/>
  <c r="G9" i="3"/>
  <c r="H6" i="3"/>
  <c r="C31" i="3" l="1"/>
  <c r="B33" i="3"/>
  <c r="F27" i="3"/>
  <c r="E30" i="3"/>
  <c r="F7" i="3"/>
  <c r="E10" i="3"/>
  <c r="E8" i="3"/>
  <c r="I6" i="3"/>
  <c r="H9" i="3"/>
  <c r="F16" i="3"/>
  <c r="E19" i="3"/>
  <c r="E18" i="3"/>
  <c r="F17" i="3"/>
  <c r="E20" i="3"/>
  <c r="C11" i="3"/>
  <c r="B13" i="3"/>
  <c r="D29" i="3"/>
  <c r="D28" i="3"/>
  <c r="D32" i="3" s="1"/>
  <c r="E26" i="3"/>
  <c r="C21" i="3"/>
  <c r="B23" i="3"/>
  <c r="G17" i="3" l="1"/>
  <c r="F20" i="3"/>
  <c r="G16" i="3"/>
  <c r="F19" i="3"/>
  <c r="F18" i="3"/>
  <c r="F22" i="3" s="1"/>
  <c r="G7" i="3"/>
  <c r="F10" i="3"/>
  <c r="F8" i="3"/>
  <c r="F12" i="3" s="1"/>
  <c r="E22" i="3"/>
  <c r="E12" i="3"/>
  <c r="J6" i="3"/>
  <c r="I9" i="3"/>
  <c r="G27" i="3"/>
  <c r="F30" i="3"/>
  <c r="C23" i="3"/>
  <c r="D21" i="3"/>
  <c r="F26" i="3"/>
  <c r="E28" i="3"/>
  <c r="E32" i="3" s="1"/>
  <c r="E29" i="3"/>
  <c r="C13" i="3"/>
  <c r="D11" i="3"/>
  <c r="C33" i="3"/>
  <c r="D31" i="3"/>
  <c r="D33" i="3" l="1"/>
  <c r="E31" i="3"/>
  <c r="G26" i="3"/>
  <c r="F29" i="3"/>
  <c r="F28" i="3"/>
  <c r="F32" i="3" s="1"/>
  <c r="G30" i="3"/>
  <c r="H27" i="3"/>
  <c r="E21" i="3"/>
  <c r="D23" i="3"/>
  <c r="G19" i="3"/>
  <c r="G18" i="3"/>
  <c r="G22" i="3" s="1"/>
  <c r="H16" i="3"/>
  <c r="G20" i="3"/>
  <c r="H17" i="3"/>
  <c r="D13" i="3"/>
  <c r="E11" i="3"/>
  <c r="K6" i="3"/>
  <c r="J9" i="3"/>
  <c r="G10" i="3"/>
  <c r="H7" i="3"/>
  <c r="G8" i="3"/>
  <c r="K9" i="3" l="1"/>
  <c r="L6" i="3"/>
  <c r="F21" i="3"/>
  <c r="E23" i="3"/>
  <c r="G12" i="3"/>
  <c r="H19" i="3"/>
  <c r="H18" i="3"/>
  <c r="H22" i="3" s="1"/>
  <c r="I16" i="3"/>
  <c r="F31" i="3"/>
  <c r="E33" i="3"/>
  <c r="H10" i="3"/>
  <c r="I7" i="3"/>
  <c r="H8" i="3"/>
  <c r="H12" i="3" s="1"/>
  <c r="H20" i="3"/>
  <c r="I17" i="3"/>
  <c r="F11" i="3"/>
  <c r="E13" i="3"/>
  <c r="H30" i="3"/>
  <c r="I27" i="3"/>
  <c r="G29" i="3"/>
  <c r="G28" i="3"/>
  <c r="G32" i="3" s="1"/>
  <c r="H26" i="3"/>
  <c r="H28" i="3" l="1"/>
  <c r="H32" i="3" s="1"/>
  <c r="I26" i="3"/>
  <c r="H29" i="3"/>
  <c r="G11" i="3"/>
  <c r="F13" i="3"/>
  <c r="G31" i="3"/>
  <c r="F33" i="3"/>
  <c r="J7" i="3"/>
  <c r="I10" i="3"/>
  <c r="I8" i="3"/>
  <c r="I12" i="3" s="1"/>
  <c r="J16" i="3"/>
  <c r="I18" i="3"/>
  <c r="I19" i="3"/>
  <c r="L9" i="3"/>
  <c r="M6" i="3"/>
  <c r="J17" i="3"/>
  <c r="I20" i="3"/>
  <c r="J27" i="3"/>
  <c r="I30" i="3"/>
  <c r="G21" i="3"/>
  <c r="F23" i="3"/>
  <c r="K27" i="3" l="1"/>
  <c r="J30" i="3"/>
  <c r="G33" i="3"/>
  <c r="H31" i="3"/>
  <c r="J26" i="3"/>
  <c r="I29" i="3"/>
  <c r="I28" i="3"/>
  <c r="I32" i="3" s="1"/>
  <c r="G23" i="3"/>
  <c r="H21" i="3"/>
  <c r="K17" i="3"/>
  <c r="J20" i="3"/>
  <c r="K16" i="3"/>
  <c r="J19" i="3"/>
  <c r="J18" i="3"/>
  <c r="J22" i="3" s="1"/>
  <c r="G13" i="3"/>
  <c r="H11" i="3"/>
  <c r="M9" i="3"/>
  <c r="B9" i="5" s="1"/>
  <c r="B6" i="4"/>
  <c r="I22" i="3"/>
  <c r="K7" i="3"/>
  <c r="J10" i="3"/>
  <c r="J8" i="3"/>
  <c r="I11" i="3" l="1"/>
  <c r="H13" i="3"/>
  <c r="I31" i="3"/>
  <c r="H33" i="3"/>
  <c r="J12" i="3"/>
  <c r="K20" i="3"/>
  <c r="L17" i="3"/>
  <c r="K10" i="3"/>
  <c r="L7" i="3"/>
  <c r="K8" i="3"/>
  <c r="K12" i="3" s="1"/>
  <c r="K19" i="3"/>
  <c r="K18" i="3"/>
  <c r="K22" i="3" s="1"/>
  <c r="L16" i="3"/>
  <c r="H23" i="3"/>
  <c r="I21" i="3"/>
  <c r="K26" i="3"/>
  <c r="J29" i="3"/>
  <c r="J28" i="3"/>
  <c r="J32" i="3" s="1"/>
  <c r="K30" i="3"/>
  <c r="L27" i="3"/>
  <c r="J21" i="3" l="1"/>
  <c r="I23" i="3"/>
  <c r="L20" i="3"/>
  <c r="M17" i="3"/>
  <c r="M20" i="3" s="1"/>
  <c r="C13" i="5" s="1"/>
  <c r="C14" i="5" s="1"/>
  <c r="J31" i="3"/>
  <c r="I33" i="3"/>
  <c r="L18" i="3"/>
  <c r="L22" i="3" s="1"/>
  <c r="M16" i="3"/>
  <c r="L19" i="3"/>
  <c r="L10" i="3"/>
  <c r="M7" i="3"/>
  <c r="L8" i="3"/>
  <c r="L12" i="3" s="1"/>
  <c r="L30" i="3"/>
  <c r="M27" i="3"/>
  <c r="M30" i="3" s="1"/>
  <c r="D13" i="5" s="1"/>
  <c r="D14" i="5" s="1"/>
  <c r="K29" i="3"/>
  <c r="K28" i="3"/>
  <c r="K32" i="3" s="1"/>
  <c r="L26" i="3"/>
  <c r="J11" i="3"/>
  <c r="I13" i="3"/>
  <c r="M10" i="3" l="1"/>
  <c r="B13" i="5" s="1"/>
  <c r="B14" i="5" s="1"/>
  <c r="M8" i="3"/>
  <c r="K11" i="3"/>
  <c r="J13" i="3"/>
  <c r="M19" i="3"/>
  <c r="C9" i="5" s="1"/>
  <c r="M18" i="3"/>
  <c r="C6" i="4"/>
  <c r="L29" i="3"/>
  <c r="L28" i="3"/>
  <c r="L32" i="3" s="1"/>
  <c r="M26" i="3"/>
  <c r="K31" i="3"/>
  <c r="J33" i="3"/>
  <c r="K21" i="3"/>
  <c r="J23" i="3"/>
  <c r="K33" i="3" l="1"/>
  <c r="L31" i="3"/>
  <c r="M28" i="3"/>
  <c r="M29" i="3"/>
  <c r="D9" i="5" s="1"/>
  <c r="D6" i="4"/>
  <c r="K13" i="3"/>
  <c r="L11" i="3"/>
  <c r="K23" i="3"/>
  <c r="L21" i="3"/>
  <c r="M12" i="3"/>
  <c r="B11" i="4" s="1"/>
  <c r="B7" i="4"/>
  <c r="M22" i="3"/>
  <c r="C11" i="4" s="1"/>
  <c r="C7" i="4"/>
  <c r="L13" i="3" l="1"/>
  <c r="M11" i="3"/>
  <c r="M32" i="3"/>
  <c r="D11" i="4" s="1"/>
  <c r="D7" i="4"/>
  <c r="C9" i="4"/>
  <c r="C12" i="4"/>
  <c r="M21" i="3"/>
  <c r="L23" i="3"/>
  <c r="L33" i="3"/>
  <c r="M31" i="3"/>
  <c r="B9" i="4"/>
  <c r="B12" i="4"/>
  <c r="D9" i="4" l="1"/>
  <c r="D12" i="4"/>
  <c r="B8" i="5"/>
  <c r="B10" i="5" s="1"/>
  <c r="B17" i="5" s="1"/>
  <c r="B5" i="4"/>
  <c r="M13" i="3"/>
  <c r="B10" i="4" s="1"/>
  <c r="C8" i="5"/>
  <c r="C10" i="5" s="1"/>
  <c r="C17" i="5" s="1"/>
  <c r="C5" i="4"/>
  <c r="M23" i="3"/>
  <c r="C10" i="4" s="1"/>
  <c r="M33" i="3"/>
  <c r="D10" i="4" s="1"/>
  <c r="D8" i="5"/>
  <c r="D10" i="5" s="1"/>
  <c r="D17" i="5" s="1"/>
  <c r="D5" i="4"/>
</calcChain>
</file>

<file path=xl/sharedStrings.xml><?xml version="1.0" encoding="utf-8"?>
<sst xmlns="http://schemas.openxmlformats.org/spreadsheetml/2006/main" count="114" uniqueCount="87">
  <si>
    <t>MarxisSolution — Startup Financial Model Template</t>
  </si>
  <si>
    <t>Live calculator: https://marxissolution.com/financial-model-template/</t>
  </si>
  <si>
    <t>How this workbook is organized</t>
  </si>
  <si>
    <t>1. Assumptions — enter your starting cash, revenue, expenses, COGS %, and working capital terms (DSO/DPO) once. Then set growth rates separately for three scenarios: Base, Best, and Worst case.</t>
  </si>
  <si>
    <t>2. 12-Month Projection — shows Revenue, Operating Expenses, Net Income, Accounts Receivable, Accounts Payable, and Ending Cash Balance for all 3 scenarios, side by side, fully calculated from your Assumptions.</t>
  </si>
  <si>
    <t>3. Summary Dashboard — a side-by-side comparison of Base/Best/Worst outcomes: ending cash, runway, breakeven month, total revenue, margins, and burn multiple.</t>
  </si>
  <si>
    <t>4. Balance Sheet Snapshot — a simplified balance sheet (Cash + Receivables = Assets; Payables = Liabilities; the difference is Equity) as of the end of your forecast period, for each scenario.</t>
  </si>
  <si>
    <t>5. Runway and Breakeven Month in this workbook are shown as whole months (first month cash goes negative, or first month Net Income turns positive). The live online calculator shows a more precise fractional month — this template rounds to whole months for simplicity.</t>
  </si>
  <si>
    <t>Color legend</t>
  </si>
  <si>
    <t>Blue text = a number you type in</t>
  </si>
  <si>
    <t>Black text = calculated automatically, do not edit</t>
  </si>
  <si>
    <t>Yellow fill = key assumption</t>
  </si>
  <si>
    <t>Blue-tinted / green-tinted / red-tinted rows = Base / Best / Worst case blocks</t>
  </si>
  <si>
    <t>This workbook is protected: formulas and labels are locked so they can't be accidentally overwritten. Blue input cells stay fully editable — no password needed.</t>
  </si>
  <si>
    <t>Educational purpose only. This template illustrates financial modeling concepts; it is not financial advice. Verify all figures against your own books.</t>
  </si>
  <si>
    <t>Starting Position (shared across all scenarios)</t>
  </si>
  <si>
    <t>Starting Cash Balance ($)</t>
  </si>
  <si>
    <t>Your cash in the bank today.</t>
  </si>
  <si>
    <t>Current Monthly Revenue ($)</t>
  </si>
  <si>
    <t>Last month's revenue.</t>
  </si>
  <si>
    <t>Current Monthly Operating Expenses ($)</t>
  </si>
  <si>
    <t>All operating expenses (excludes COGS).</t>
  </si>
  <si>
    <t>COGS (% of Revenue)</t>
  </si>
  <si>
    <t>For SaaS: 15-25% is typical.</t>
  </si>
  <si>
    <t>Days Sales Outstanding (DSO)</t>
  </si>
  <si>
    <t>Days to collect payment from customers.</t>
  </si>
  <si>
    <t>Days Payable Outstanding (DPO)</t>
  </si>
  <si>
    <t>Days you take to pay your own bills.</t>
  </si>
  <si>
    <t>Forecast Period</t>
  </si>
  <si>
    <t>Months to Forecast</t>
  </si>
  <si>
    <t>This template shows 12 months. Enter 12 here to match (changing this number does not add or remove columns).</t>
  </si>
  <si>
    <t>Growth Assumptions by Scenario</t>
  </si>
  <si>
    <t>Base Case</t>
  </si>
  <si>
    <t>Best Case</t>
  </si>
  <si>
    <t>Worst Case</t>
  </si>
  <si>
    <t>Monthly Revenue Growth (%)</t>
  </si>
  <si>
    <t>Monthly Expense Growth (%)</t>
  </si>
  <si>
    <t>← Base/Best/Worst let you stress-test your plan. Best = strong growth, controlled costs. Worst = slow growth, rising costs.</t>
  </si>
  <si>
    <t>Scenario / Line Item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</si>
  <si>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</si>
  <si>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</si>
  <si>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</si>
  <si>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</si>
  <si>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</si>
  <si>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</si>
  <si>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</si>
  <si>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</si>
  <si>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</si>
  <si>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</si>
  <si>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</si>
  <si>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</si>
  <si>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BASE CASE</t>
  </si>
  <si>
    <t>Revenue ($)</t>
  </si>
  <si>
    <t>Operating Expenses ($)</t>
  </si>
  <si>
    <t>Net Income ($)</t>
  </si>
  <si>
    <t>Accounts Receivable ($)</t>
  </si>
  <si>
    <t>Accounts Payable ($)</t>
  </si>
  <si>
    <t>Ending Cash Balance ($)</t>
  </si>
  <si>
    <t xml:space="preserve">  Breakeven flag (helper)</t>
  </si>
  <si>
    <t xml:space="preserve">  Cash-negative flag (helper)</t>
  </si>
  <si>
    <t>BEST CASE</t>
  </si>
  <si>
    <t>WORST CASE</t>
  </si>
  <si>
    <t>Metric</t>
  </si>
  <si>
    <t>Base</t>
  </si>
  <si>
    <t>Best</t>
  </si>
  <si>
    <t>Worst</t>
  </si>
  <si>
    <t>Ending Cash Balance (Month 12)</t>
  </si>
  <si>
    <t>Total Revenue (12mo)</t>
  </si>
  <si>
    <t>Total Net Income (12mo)</t>
  </si>
  <si>
    <t>Gross Margin (%)</t>
  </si>
  <si>
    <t>Operating Margin (%)</t>
  </si>
  <si>
    <t>Runway (first month cash goes negative)</t>
  </si>
  <si>
    <t>Breakeven Month (first profitable month)</t>
  </si>
  <si>
    <t>Burn Multiple</t>
  </si>
  <si>
    <t>Runway and Breakeven Month show whole months (based on the helper flag rows on the 12-Month Projection sheet). "Not within 12mo" / "&gt;12 months" means the model doesn't cross that threshold within your forecast window — extend the model or revisit your assumptions if you need to see further out.</t>
  </si>
  <si>
    <t>Simplified balance sheet as of the end of your forecast period (Month 12), for each scenario.</t>
  </si>
  <si>
    <t>Line Item</t>
  </si>
  <si>
    <t>ASSETS</t>
  </si>
  <si>
    <t xml:space="preserve">  Cash</t>
  </si>
  <si>
    <t xml:space="preserve">  Accounts Receivable</t>
  </si>
  <si>
    <t>Total Assets</t>
  </si>
  <si>
    <t>LIABILITIES</t>
  </si>
  <si>
    <t xml:space="preserve">  Accounts Payable</t>
  </si>
  <si>
    <t>Total Liabilities</t>
  </si>
  <si>
    <t>EQUITY</t>
  </si>
  <si>
    <t xml:space="preserve">  Equity (Assets − Liabilities)</t>
  </si>
  <si>
    <t>This is a simplified balance sheet for planning purposes — it doesn't include fixed assets, debt, or paid-in capital. Equity here is simply the plug that makes Assets = Liabilities + Equity, representing retained cash generated (or consumed) by the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</si>
</sst>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&quot;($&quot;#,##0\);\-"/>
    <numFmt numFmtId="165" formatCode="0.0%"/>
    <numFmt numFmtId="166" formatCode="0\d"/>
    <numFmt numFmtId="167" formatCode="0.0\x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u/>
      <sz val="10"/>
      <color rgb="FF2563EB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i/>
      <sz val="9"/>
      <color rgb="FF666666"/>
      <name val="Arial"/>
      <family val="2"/>
    </font>
    <font>
      <b/>
      <sz val="12"/>
      <color rgb="FFFFFFFF"/>
      <name val="Arial"/>
      <family val="2"/>
    </font>
    <font>
      <b/>
      <sz val="11"/>
      <color rgb="FF0000FF"/>
      <name val="Arial"/>
      <family val="2"/>
    </font>
    <font>
      <i/>
      <sz val="8"/>
      <color rgb="FF66666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E1B4B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8B5CF6"/>
        <bgColor rgb="FF6366F1"/>
      </patternFill>
    </fill>
    <fill>
      <patternFill patternType="solid">
        <fgColor rgb="FF6366F1"/>
        <bgColor rgb="FF8B5CF6"/>
      </patternFill>
    </fill>
    <fill>
      <patternFill patternType="solid">
        <fgColor rgb="FF10B981"/>
        <bgColor rgb="FF33CCCC"/>
      </patternFill>
    </fill>
    <fill>
      <patternFill patternType="solid">
        <fgColor rgb="FFEF4444"/>
        <bgColor rgb="FF993366"/>
      </patternFill>
    </fill>
    <fill>
      <patternFill patternType="solid">
        <fgColor rgb="FFF8FAFC"/>
        <bgColor rgb="FFFFFFFF"/>
      </patternFill>
    </fill>
    <fill>
      <patternFill patternType="solid">
        <fgColor rgb="FFF1F5F9"/>
        <bgColor rgb="FFEEF2FF"/>
      </patternFill>
    </fill>
    <fill>
      <patternFill patternType="solid">
        <fgColor rgb="FFEEF2FF"/>
        <b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top" wrapText="1"/>
    </xf>
    <xf numFmtId="0" fontId="7" fillId="7" borderId="0" xfId="0" applyFont="1" applyFill="1" applyBorder="1" applyAlignment="1">
      <alignment horizontal="left" vertical="center" indent="1"/>
    </xf>
    <xf numFmtId="0" fontId="7" fillId="6" borderId="0" xfId="0" applyFont="1" applyFill="1" applyBorder="1" applyAlignment="1">
      <alignment horizontal="left" vertical="center" indent="1"/>
    </xf>
    <xf numFmtId="0" fontId="7" fillId="5" borderId="0" xfId="0" applyFont="1" applyFill="1" applyBorder="1" applyAlignment="1">
      <alignment horizontal="left" vertical="center" indent="1"/>
    </xf>
    <xf numFmtId="0" fontId="7" fillId="4" borderId="0" xfId="0" applyFont="1" applyFill="1" applyBorder="1"/>
    <xf numFmtId="0" fontId="2" fillId="0" borderId="0" xfId="0" applyFont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/>
    <xf numFmtId="0" fontId="4" fillId="3" borderId="0" xfId="0" applyFont="1" applyFill="1"/>
    <xf numFmtId="0" fontId="6" fillId="0" borderId="0" xfId="0" applyFont="1" applyAlignment="1">
      <alignment wrapText="1"/>
    </xf>
    <xf numFmtId="164" fontId="8" fillId="3" borderId="1" xfId="0" applyNumberFormat="1" applyFont="1" applyFill="1" applyBorder="1" applyProtection="1">
      <protection locked="0"/>
    </xf>
    <xf numFmtId="0" fontId="6" fillId="0" borderId="0" xfId="0" applyFont="1" applyAlignment="1">
      <alignment vertical="top" wrapText="1"/>
    </xf>
    <xf numFmtId="165" fontId="8" fillId="3" borderId="1" xfId="0" applyNumberFormat="1" applyFont="1" applyFill="1" applyBorder="1" applyProtection="1">
      <protection locked="0"/>
    </xf>
    <xf numFmtId="166" fontId="8" fillId="3" borderId="1" xfId="0" applyNumberFormat="1" applyFont="1" applyFill="1" applyBorder="1" applyProtection="1">
      <protection locked="0"/>
    </xf>
    <xf numFmtId="1" fontId="8" fillId="3" borderId="1" xfId="0" applyNumberFormat="1" applyFont="1" applyFill="1" applyBorder="1" applyProtection="1">
      <protection locked="0"/>
    </xf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164" fontId="4" fillId="0" borderId="1" xfId="0" applyNumberFormat="1" applyFont="1" applyBorder="1"/>
    <xf numFmtId="164" fontId="3" fillId="8" borderId="1" xfId="0" applyNumberFormat="1" applyFont="1" applyFill="1" applyBorder="1"/>
    <xf numFmtId="0" fontId="9" fillId="0" borderId="0" xfId="0" applyFont="1"/>
    <xf numFmtId="0" fontId="9" fillId="9" borderId="0" xfId="0" applyFont="1" applyFill="1" applyAlignment="1">
      <alignment horizontal="center"/>
    </xf>
    <xf numFmtId="165" fontId="3" fillId="8" borderId="1" xfId="0" applyNumberFormat="1" applyFont="1" applyFill="1" applyBorder="1"/>
    <xf numFmtId="0" fontId="3" fillId="8" borderId="1" xfId="0" applyFont="1" applyFill="1" applyBorder="1"/>
    <xf numFmtId="167" fontId="3" fillId="8" borderId="1" xfId="0" applyNumberFormat="1" applyFont="1" applyFill="1" applyBorder="1"/>
    <xf numFmtId="164" fontId="3" fillId="1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366F1"/>
      <rgbColor rgb="FF8B5CF6"/>
      <rgbColor rgb="FF993366"/>
      <rgbColor rgb="FFF8FAFC"/>
      <rgbColor rgb="FFEEF2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9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EF4444"/>
      <rgbColor rgb="FF666666"/>
      <rgbColor rgb="FF969696"/>
      <rgbColor rgb="FF003366"/>
      <rgbColor rgb="FF10B981"/>
      <rgbColor rgb="FF003300"/>
      <rgbColor rgb="FF333300"/>
      <rgbColor rgb="FF993300"/>
      <rgbColor rgb="FF993366"/>
      <rgbColor rgb="FF333399"/>
      <rgbColor rgb="FF1E1B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rxissolution.com/financial-model-templat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arxissolution.com/financial-model-templat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arxissolution.com/financial-model-template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arxissolution.com/financial-model-templat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arxissolution.com/financial-model-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zoomScaleNormal="100" workbookViewId="0"/>
  </sheetViews>
  <sheetFormatPr defaultColWidth="8.7109375" defaultRowHeight="15" x14ac:dyDescent="0.25"/>
  <cols>
    <col min="1" max="1" width="100" customWidth="1"/>
  </cols>
  <sheetData>
    <row r="1" spans="1:1" ht="24" customHeight="1" x14ac:dyDescent="0.25">
      <c r="A1" s="9" t="s">
        <v>0</v>
      </c>
    </row>
    <row r="2" spans="1:1" x14ac:dyDescent="0.25">
      <c r="A2" s="10" t="s">
        <v>1</v>
      </c>
    </row>
    <row r="4" spans="1:1" x14ac:dyDescent="0.25">
      <c r="A4" s="11" t="s">
        <v>2</v>
      </c>
    </row>
    <row r="6" spans="1:1" ht="30" customHeight="1" x14ac:dyDescent="0.25">
      <c r="A6" s="12" t="s">
        <v>3</v>
      </c>
    </row>
    <row r="8" spans="1:1" ht="30" customHeight="1" x14ac:dyDescent="0.25">
      <c r="A8" s="12" t="s">
        <v>4</v>
      </c>
    </row>
    <row r="10" spans="1:1" ht="30" customHeight="1" x14ac:dyDescent="0.25">
      <c r="A10" s="12" t="s">
        <v>5</v>
      </c>
    </row>
    <row r="12" spans="1:1" ht="30" customHeight="1" x14ac:dyDescent="0.25">
      <c r="A12" s="12" t="s">
        <v>6</v>
      </c>
    </row>
    <row r="14" spans="1:1" ht="30" customHeight="1" x14ac:dyDescent="0.25">
      <c r="A14" s="12" t="s">
        <v>7</v>
      </c>
    </row>
    <row r="17" spans="1:1" x14ac:dyDescent="0.25">
      <c r="A17" s="11" t="s">
        <v>8</v>
      </c>
    </row>
    <row r="19" spans="1:1" x14ac:dyDescent="0.25">
      <c r="A19" s="13" t="s">
        <v>9</v>
      </c>
    </row>
    <row r="20" spans="1:1" x14ac:dyDescent="0.25">
      <c r="A20" s="14" t="s">
        <v>10</v>
      </c>
    </row>
    <row r="21" spans="1:1" x14ac:dyDescent="0.25">
      <c r="A21" s="15" t="s">
        <v>11</v>
      </c>
    </row>
    <row r="22" spans="1:1" x14ac:dyDescent="0.25">
      <c r="A22" s="14" t="s">
        <v>12</v>
      </c>
    </row>
    <row r="23" spans="1:1" ht="24.75" x14ac:dyDescent="0.25">
      <c r="A23" s="16" t="s">
        <v>13</v>
      </c>
    </row>
    <row r="26" spans="1:1" ht="24.75" x14ac:dyDescent="0.25">
      <c r="A26" s="16" t="s">
        <v>14</v>
      </c>
    </row>
  </sheetData>
  <sheetProtection sheet="1" formatCells="0" formatColumns="0" formatRows="0" insertColumns="0" insertRows="0" deleteColumns="0" deleteRows="0" selectLockedCells="1" sort="0" autoFilter="0" selectUnlockedCells="1"/>
  <hyperlinks>
    <hyperlink ref="A2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showGridLines="0" tabSelected="1" zoomScaleNormal="100" workbookViewId="0">
      <selection sqref="A1:E1"/>
    </sheetView>
  </sheetViews>
  <sheetFormatPr defaultColWidth="8.7109375" defaultRowHeight="15" x14ac:dyDescent="0.25"/>
  <cols>
    <col min="1" max="1" width="34" customWidth="1"/>
    <col min="2" max="4" width="16" customWidth="1"/>
    <col min="5" max="5" width="45" customWidth="1"/>
  </cols>
  <sheetData>
    <row r="1" spans="1:5" ht="24" customHeight="1" x14ac:dyDescent="0.25">
      <c r="A1" s="8" t="s">
        <v>0</v>
      </c>
      <c r="B1" s="8"/>
      <c r="C1" s="8"/>
      <c r="D1" s="8"/>
      <c r="E1" s="8"/>
    </row>
    <row r="2" spans="1:5" x14ac:dyDescent="0.25">
      <c r="A2" s="7" t="s">
        <v>1</v>
      </c>
      <c r="B2" s="7"/>
      <c r="C2" s="7"/>
      <c r="D2" s="7"/>
      <c r="E2" s="7"/>
    </row>
    <row r="4" spans="1:5" ht="15.75" x14ac:dyDescent="0.25">
      <c r="A4" s="6" t="s">
        <v>15</v>
      </c>
      <c r="B4" s="6"/>
      <c r="C4" s="6"/>
      <c r="D4" s="6"/>
      <c r="E4" s="6"/>
    </row>
    <row r="5" spans="1:5" x14ac:dyDescent="0.25">
      <c r="A5" s="11" t="s">
        <v>16</v>
      </c>
      <c r="B5" s="17">
        <v>250000</v>
      </c>
      <c r="E5" s="18" t="s">
        <v>17</v>
      </c>
    </row>
    <row r="6" spans="1:5" x14ac:dyDescent="0.25">
      <c r="A6" s="11" t="s">
        <v>18</v>
      </c>
      <c r="B6" s="17">
        <v>15000</v>
      </c>
      <c r="E6" s="18" t="s">
        <v>19</v>
      </c>
    </row>
    <row r="7" spans="1:5" x14ac:dyDescent="0.25">
      <c r="A7" s="11" t="s">
        <v>20</v>
      </c>
      <c r="B7" s="17">
        <v>25000</v>
      </c>
      <c r="E7" s="18" t="s">
        <v>21</v>
      </c>
    </row>
    <row r="8" spans="1:5" x14ac:dyDescent="0.25">
      <c r="A8" s="11" t="s">
        <v>22</v>
      </c>
      <c r="B8" s="19">
        <v>0.2</v>
      </c>
      <c r="E8" s="18" t="s">
        <v>23</v>
      </c>
    </row>
    <row r="9" spans="1:5" x14ac:dyDescent="0.25">
      <c r="A9" s="11" t="s">
        <v>24</v>
      </c>
      <c r="B9" s="20">
        <v>30</v>
      </c>
      <c r="E9" s="18" t="s">
        <v>25</v>
      </c>
    </row>
    <row r="10" spans="1:5" x14ac:dyDescent="0.25">
      <c r="A10" s="11" t="s">
        <v>26</v>
      </c>
      <c r="B10" s="20">
        <v>15</v>
      </c>
      <c r="E10" s="18" t="s">
        <v>27</v>
      </c>
    </row>
    <row r="12" spans="1:5" ht="15.75" x14ac:dyDescent="0.25">
      <c r="A12" s="6" t="s">
        <v>28</v>
      </c>
      <c r="B12" s="6"/>
      <c r="C12" s="6"/>
      <c r="D12" s="6"/>
      <c r="E12" s="6"/>
    </row>
    <row r="13" spans="1:5" ht="36" x14ac:dyDescent="0.25">
      <c r="A13" s="11" t="s">
        <v>29</v>
      </c>
      <c r="B13" s="21">
        <v>12</v>
      </c>
      <c r="E13" s="18" t="s">
        <v>30</v>
      </c>
    </row>
    <row r="15" spans="1:5" ht="15.75" x14ac:dyDescent="0.25">
      <c r="A15" s="6" t="s">
        <v>31</v>
      </c>
      <c r="B15" s="6"/>
      <c r="C15" s="6"/>
      <c r="D15" s="6"/>
      <c r="E15" s="6"/>
    </row>
    <row r="16" spans="1:5" ht="15.75" x14ac:dyDescent="0.25">
      <c r="B16" s="22" t="s">
        <v>32</v>
      </c>
      <c r="C16" s="23" t="s">
        <v>33</v>
      </c>
      <c r="D16" s="24" t="s">
        <v>34</v>
      </c>
    </row>
    <row r="17" spans="1:5" x14ac:dyDescent="0.25">
      <c r="A17" s="11" t="s">
        <v>35</v>
      </c>
      <c r="B17" s="19">
        <v>0.08</v>
      </c>
      <c r="C17" s="19">
        <v>0.15</v>
      </c>
      <c r="D17" s="19">
        <v>0.02</v>
      </c>
    </row>
    <row r="18" spans="1:5" ht="36" x14ac:dyDescent="0.25">
      <c r="A18" s="11" t="s">
        <v>36</v>
      </c>
      <c r="B18" s="19">
        <v>0.04</v>
      </c>
      <c r="C18" s="19">
        <v>0.04</v>
      </c>
      <c r="D18" s="19">
        <v>0.08</v>
      </c>
      <c r="E18" s="18" t="s">
        <v>37</v>
      </c>
    </row>
  </sheetData>
  <sheetProtection sheet="1" formatCells="0" formatColumns="0" formatRows="0" insertColumns="0" insertRows="0" deleteColumns="0" deleteRows="0" selectLockedCells="1" sort="0" autoFilter="0" selectUnlockedCells="1"/>
  <mergeCells count="5">
    <mergeCell ref="A1:E1"/>
    <mergeCell ref="A2:E2"/>
    <mergeCell ref="A4:E4"/>
    <mergeCell ref="A12:E12"/>
    <mergeCell ref="A15:E15"/>
  </mergeCells>
  <hyperlinks>
    <hyperlink ref="A2" r:id="rId1" xr:uid="{00000000-0004-0000-01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showGridLines="0" zoomScaleNormal="100" workbookViewId="0">
      <selection sqref="A1:M1"/>
    </sheetView>
  </sheetViews>
  <sheetFormatPr defaultColWidth="8.7109375" defaultRowHeight="15" x14ac:dyDescent="0.25"/>
  <cols>
    <col min="1" max="1" width="28" customWidth="1"/>
    <col min="2" max="13" width="12" customWidth="1"/>
  </cols>
  <sheetData>
    <row r="1" spans="1:13" ht="24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ht="19.5" customHeight="1" x14ac:dyDescent="0.25">
      <c r="A4" s="25" t="s">
        <v>38</v>
      </c>
      <c r="B4" s="26" t="s">
        <v>39</v>
      </c>
      <c r="C4" s="26" t="s">
        <v>40</v>
      </c>
      <c r="D4" s="26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6" t="s">
        <v>47</v>
      </c>
      <c r="K4" s="26" t="s">
        <v>48</v>
      </c>
      <c r="L4" s="26" t="s">
        <v>49</v>
      </c>
      <c r="M4" s="26" t="s">
        <v>50</v>
      </c>
    </row>
    <row r="5" spans="1:13" ht="15.75" x14ac:dyDescent="0.25">
      <c r="A5" s="5" t="s">
        <v>51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14" t="s">
        <v>52</v>
      </c>
      <c r="B6" s="27">
        <f>Assumptions!$B$6*(1+Assumptions!$B$17)</f>
        <v>16200.000000000002</v>
      </c>
      <c r="C6" s="27">
        <f>B6*(1+Assumptions!$B$17)</f>
        <v>17496.000000000004</v>
      </c>
      <c r="D6" s="27">
        <f>C6*(1+Assumptions!$B$17)</f>
        <v>18895.680000000004</v>
      </c>
      <c r="E6" s="27">
        <f>D6*(1+Assumptions!$B$17)</f>
        <v>20407.334400000007</v>
      </c>
      <c r="F6" s="27">
        <f>E6*(1+Assumptions!$B$17)</f>
        <v>22039.92115200001</v>
      </c>
      <c r="G6" s="27">
        <f>F6*(1+Assumptions!$B$17)</f>
        <v>23803.114844160013</v>
      </c>
      <c r="H6" s="27">
        <f>G6*(1+Assumptions!$B$17)</f>
        <v>25707.364031692814</v>
      </c>
      <c r="I6" s="27">
        <f>H6*(1+Assumptions!$B$17)</f>
        <v>27763.953154228242</v>
      </c>
      <c r="J6" s="27">
        <f>I6*(1+Assumptions!$B$17)</f>
        <v>29985.069406566505</v>
      </c>
      <c r="K6" s="27">
        <f>J6*(1+Assumptions!$B$17)</f>
        <v>32383.874959091827</v>
      </c>
      <c r="L6" s="27">
        <f>K6*(1+Assumptions!$B$17)</f>
        <v>34974.584955819177</v>
      </c>
      <c r="M6" s="27">
        <f>L6*(1+Assumptions!$B$17)</f>
        <v>37772.551752284715</v>
      </c>
    </row>
    <row r="7" spans="1:13" x14ac:dyDescent="0.25">
      <c r="A7" s="14" t="s">
        <v>53</v>
      </c>
      <c r="B7" s="27">
        <f>Assumptions!$B$7*(1+Assumptions!$B$18)</f>
        <v>26000</v>
      </c>
      <c r="C7" s="27">
        <f>B7*(1+Assumptions!$B$18)</f>
        <v>27040</v>
      </c>
      <c r="D7" s="27">
        <f>C7*(1+Assumptions!$B$18)</f>
        <v>28121.600000000002</v>
      </c>
      <c r="E7" s="27">
        <f>D7*(1+Assumptions!$B$18)</f>
        <v>29246.464000000004</v>
      </c>
      <c r="F7" s="27">
        <f>E7*(1+Assumptions!$B$18)</f>
        <v>30416.322560000004</v>
      </c>
      <c r="G7" s="27">
        <f>F7*(1+Assumptions!$B$18)</f>
        <v>31632.975462400005</v>
      </c>
      <c r="H7" s="27">
        <f>G7*(1+Assumptions!$B$18)</f>
        <v>32898.294480896009</v>
      </c>
      <c r="I7" s="27">
        <f>H7*(1+Assumptions!$B$18)</f>
        <v>34214.226260131851</v>
      </c>
      <c r="J7" s="27">
        <f>I7*(1+Assumptions!$B$18)</f>
        <v>35582.795310537127</v>
      </c>
      <c r="K7" s="27">
        <f>J7*(1+Assumptions!$B$18)</f>
        <v>37006.107122958616</v>
      </c>
      <c r="L7" s="27">
        <f>K7*(1+Assumptions!$B$18)</f>
        <v>38486.351407876959</v>
      </c>
      <c r="M7" s="27">
        <f>L7*(1+Assumptions!$B$18)</f>
        <v>40025.805464192039</v>
      </c>
    </row>
    <row r="8" spans="1:13" x14ac:dyDescent="0.25">
      <c r="A8" s="11" t="s">
        <v>54</v>
      </c>
      <c r="B8" s="28">
        <f>B6*(1-Assumptions!$B$8)-B7</f>
        <v>-13039.999999999998</v>
      </c>
      <c r="C8" s="28">
        <f>C6*(1-Assumptions!$B$8)-C7</f>
        <v>-13043.199999999997</v>
      </c>
      <c r="D8" s="28">
        <f>D6*(1-Assumptions!$B$8)-D7</f>
        <v>-13005.055999999999</v>
      </c>
      <c r="E8" s="28">
        <f>E6*(1-Assumptions!$B$8)-E7</f>
        <v>-12920.596479999997</v>
      </c>
      <c r="F8" s="28">
        <f>F6*(1-Assumptions!$B$8)-F7</f>
        <v>-12784.385638399996</v>
      </c>
      <c r="G8" s="28">
        <f>G6*(1-Assumptions!$B$8)-G7</f>
        <v>-12590.483587071994</v>
      </c>
      <c r="H8" s="28">
        <f>H6*(1-Assumptions!$B$8)-H7</f>
        <v>-12332.403255541758</v>
      </c>
      <c r="I8" s="28">
        <f>I6*(1-Assumptions!$B$8)-I7</f>
        <v>-12003.063736749256</v>
      </c>
      <c r="J8" s="28">
        <f>J6*(1-Assumptions!$B$8)-J7</f>
        <v>-11594.73978528392</v>
      </c>
      <c r="K8" s="28">
        <f>K6*(1-Assumptions!$B$8)-K7</f>
        <v>-11099.007155685154</v>
      </c>
      <c r="L8" s="28">
        <f>L6*(1-Assumptions!$B$8)-L7</f>
        <v>-10506.683443221616</v>
      </c>
      <c r="M8" s="28">
        <f>M6*(1-Assumptions!$B$8)-M7</f>
        <v>-9807.7640623642656</v>
      </c>
    </row>
    <row r="9" spans="1:13" x14ac:dyDescent="0.25">
      <c r="A9" s="14" t="s">
        <v>55</v>
      </c>
      <c r="B9" s="27">
        <f>B6*Assumptions!$B$9/30</f>
        <v>16200.000000000002</v>
      </c>
      <c r="C9" s="27">
        <f>C6*Assumptions!$B$9/30</f>
        <v>17496.000000000004</v>
      </c>
      <c r="D9" s="27">
        <f>D6*Assumptions!$B$9/30</f>
        <v>18895.680000000004</v>
      </c>
      <c r="E9" s="27">
        <f>E6*Assumptions!$B$9/30</f>
        <v>20407.334400000007</v>
      </c>
      <c r="F9" s="27">
        <f>F6*Assumptions!$B$9/30</f>
        <v>22039.92115200001</v>
      </c>
      <c r="G9" s="27">
        <f>G6*Assumptions!$B$9/30</f>
        <v>23803.114844160013</v>
      </c>
      <c r="H9" s="27">
        <f>H6*Assumptions!$B$9/30</f>
        <v>25707.364031692814</v>
      </c>
      <c r="I9" s="27">
        <f>I6*Assumptions!$B$9/30</f>
        <v>27763.953154228242</v>
      </c>
      <c r="J9" s="27">
        <f>J6*Assumptions!$B$9/30</f>
        <v>29985.069406566505</v>
      </c>
      <c r="K9" s="27">
        <f>K6*Assumptions!$B$9/30</f>
        <v>32383.874959091827</v>
      </c>
      <c r="L9" s="27">
        <f>L6*Assumptions!$B$9/30</f>
        <v>34974.584955819177</v>
      </c>
      <c r="M9" s="27">
        <f>M6*Assumptions!$B$9/30</f>
        <v>37772.551752284715</v>
      </c>
    </row>
    <row r="10" spans="1:13" x14ac:dyDescent="0.25">
      <c r="A10" s="14" t="s">
        <v>56</v>
      </c>
      <c r="B10" s="27">
        <f>B7*Assumptions!$B$10/30</f>
        <v>13000</v>
      </c>
      <c r="C10" s="27">
        <f>C7*Assumptions!$B$10/30</f>
        <v>13520</v>
      </c>
      <c r="D10" s="27">
        <f>D7*Assumptions!$B$10/30</f>
        <v>14060.800000000001</v>
      </c>
      <c r="E10" s="27">
        <f>E7*Assumptions!$B$10/30</f>
        <v>14623.232000000002</v>
      </c>
      <c r="F10" s="27">
        <f>F7*Assumptions!$B$10/30</f>
        <v>15208.161280000002</v>
      </c>
      <c r="G10" s="27">
        <f>G7*Assumptions!$B$10/30</f>
        <v>15816.487731200003</v>
      </c>
      <c r="H10" s="27">
        <f>H7*Assumptions!$B$10/30</f>
        <v>16449.147240448005</v>
      </c>
      <c r="I10" s="27">
        <f>I7*Assumptions!$B$10/30</f>
        <v>17107.113130065925</v>
      </c>
      <c r="J10" s="27">
        <f>J7*Assumptions!$B$10/30</f>
        <v>17791.397655268564</v>
      </c>
      <c r="K10" s="27">
        <f>K7*Assumptions!$B$10/30</f>
        <v>18503.053561479308</v>
      </c>
      <c r="L10" s="27">
        <f>L7*Assumptions!$B$10/30</f>
        <v>19243.175703938479</v>
      </c>
      <c r="M10" s="27">
        <f>M7*Assumptions!$B$10/30</f>
        <v>20012.902732096019</v>
      </c>
    </row>
    <row r="11" spans="1:13" x14ac:dyDescent="0.25">
      <c r="A11" s="11" t="s">
        <v>57</v>
      </c>
      <c r="B11" s="28">
        <f>Assumptions!$B$5+B8-(B9-(Assumptions!$B$6*Assumptions!$B$9/30))+(B10-(Assumptions!$B$7*Assumptions!$B$10/30))</f>
        <v>236260</v>
      </c>
      <c r="C11" s="28">
        <f t="shared" ref="C11:M11" si="0">B11+C8-(C9-B9)+(C10-B10)</f>
        <v>222440.8</v>
      </c>
      <c r="D11" s="28">
        <f t="shared" si="0"/>
        <v>208576.86399999997</v>
      </c>
      <c r="E11" s="28">
        <f t="shared" si="0"/>
        <v>194707.04511999997</v>
      </c>
      <c r="F11" s="28">
        <f t="shared" si="0"/>
        <v>180875.00200959999</v>
      </c>
      <c r="G11" s="28">
        <f t="shared" si="0"/>
        <v>167129.65118156798</v>
      </c>
      <c r="H11" s="28">
        <f t="shared" si="0"/>
        <v>153525.65824774143</v>
      </c>
      <c r="I11" s="28">
        <f t="shared" si="0"/>
        <v>140123.97127807466</v>
      </c>
      <c r="J11" s="28">
        <f t="shared" si="0"/>
        <v>126992.39976565511</v>
      </c>
      <c r="K11" s="28">
        <f t="shared" si="0"/>
        <v>114206.24296365536</v>
      </c>
      <c r="L11" s="28">
        <f t="shared" si="0"/>
        <v>101848.97166616557</v>
      </c>
      <c r="M11" s="28">
        <f t="shared" si="0"/>
        <v>90012.967835493298</v>
      </c>
    </row>
    <row r="12" spans="1:13" x14ac:dyDescent="0.25">
      <c r="A12" s="29" t="s">
        <v>58</v>
      </c>
      <c r="B12" s="30">
        <f t="shared" ref="B12:M12" si="1">IF(B8&gt;=0,1,0)</f>
        <v>0</v>
      </c>
      <c r="C12" s="30">
        <f t="shared" si="1"/>
        <v>0</v>
      </c>
      <c r="D12" s="30">
        <f t="shared" si="1"/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0</v>
      </c>
      <c r="I12" s="30">
        <f t="shared" si="1"/>
        <v>0</v>
      </c>
      <c r="J12" s="30">
        <f t="shared" si="1"/>
        <v>0</v>
      </c>
      <c r="K12" s="30">
        <f t="shared" si="1"/>
        <v>0</v>
      </c>
      <c r="L12" s="30">
        <f t="shared" si="1"/>
        <v>0</v>
      </c>
      <c r="M12" s="30">
        <f t="shared" si="1"/>
        <v>0</v>
      </c>
    </row>
    <row r="13" spans="1:13" x14ac:dyDescent="0.25">
      <c r="A13" s="29" t="s">
        <v>59</v>
      </c>
      <c r="B13" s="30">
        <f t="shared" ref="B13:M13" si="2">IF(B11&lt;=0,1,0)</f>
        <v>0</v>
      </c>
      <c r="C13" s="30">
        <f t="shared" si="2"/>
        <v>0</v>
      </c>
      <c r="D13" s="30">
        <f t="shared" si="2"/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0</v>
      </c>
      <c r="I13" s="30">
        <f t="shared" si="2"/>
        <v>0</v>
      </c>
      <c r="J13" s="30">
        <f t="shared" si="2"/>
        <v>0</v>
      </c>
      <c r="K13" s="30">
        <f t="shared" si="2"/>
        <v>0</v>
      </c>
      <c r="L13" s="30">
        <f t="shared" si="2"/>
        <v>0</v>
      </c>
      <c r="M13" s="30">
        <f t="shared" si="2"/>
        <v>0</v>
      </c>
    </row>
    <row r="15" spans="1:13" ht="15.75" x14ac:dyDescent="0.25">
      <c r="A15" s="4" t="s">
        <v>60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14" t="s">
        <v>52</v>
      </c>
      <c r="B16" s="27">
        <f>Assumptions!$B$6*(1+Assumptions!$C$17)</f>
        <v>17250</v>
      </c>
      <c r="C16" s="27">
        <f>B16*(1+Assumptions!$C$17)</f>
        <v>19837.5</v>
      </c>
      <c r="D16" s="27">
        <f>C16*(1+Assumptions!$C$17)</f>
        <v>22813.125</v>
      </c>
      <c r="E16" s="27">
        <f>D16*(1+Assumptions!$C$17)</f>
        <v>26235.093749999996</v>
      </c>
      <c r="F16" s="27">
        <f>E16*(1+Assumptions!$C$17)</f>
        <v>30170.357812499995</v>
      </c>
      <c r="G16" s="27">
        <f>F16*(1+Assumptions!$C$17)</f>
        <v>34695.911484374992</v>
      </c>
      <c r="H16" s="27">
        <f>G16*(1+Assumptions!$C$17)</f>
        <v>39900.298207031236</v>
      </c>
      <c r="I16" s="27">
        <f>H16*(1+Assumptions!$C$17)</f>
        <v>45885.342938085916</v>
      </c>
      <c r="J16" s="27">
        <f>I16*(1+Assumptions!$C$17)</f>
        <v>52768.144378798803</v>
      </c>
      <c r="K16" s="27">
        <f>J16*(1+Assumptions!$C$17)</f>
        <v>60683.366035618616</v>
      </c>
      <c r="L16" s="27">
        <f>K16*(1+Assumptions!$C$17)</f>
        <v>69785.870940961409</v>
      </c>
      <c r="M16" s="27">
        <f>L16*(1+Assumptions!$C$17)</f>
        <v>80253.751582105615</v>
      </c>
    </row>
    <row r="17" spans="1:13" x14ac:dyDescent="0.25">
      <c r="A17" s="14" t="s">
        <v>53</v>
      </c>
      <c r="B17" s="27">
        <f>Assumptions!$B$7*(1+Assumptions!$C$18)</f>
        <v>26000</v>
      </c>
      <c r="C17" s="27">
        <f>B17*(1+Assumptions!$C$18)</f>
        <v>27040</v>
      </c>
      <c r="D17" s="27">
        <f>C17*(1+Assumptions!$C$18)</f>
        <v>28121.600000000002</v>
      </c>
      <c r="E17" s="27">
        <f>D17*(1+Assumptions!$C$18)</f>
        <v>29246.464000000004</v>
      </c>
      <c r="F17" s="27">
        <f>E17*(1+Assumptions!$C$18)</f>
        <v>30416.322560000004</v>
      </c>
      <c r="G17" s="27">
        <f>F17*(1+Assumptions!$C$18)</f>
        <v>31632.975462400005</v>
      </c>
      <c r="H17" s="27">
        <f>G17*(1+Assumptions!$C$18)</f>
        <v>32898.294480896009</v>
      </c>
      <c r="I17" s="27">
        <f>H17*(1+Assumptions!$C$18)</f>
        <v>34214.226260131851</v>
      </c>
      <c r="J17" s="27">
        <f>I17*(1+Assumptions!$C$18)</f>
        <v>35582.795310537127</v>
      </c>
      <c r="K17" s="27">
        <f>J17*(1+Assumptions!$C$18)</f>
        <v>37006.107122958616</v>
      </c>
      <c r="L17" s="27">
        <f>K17*(1+Assumptions!$C$18)</f>
        <v>38486.351407876959</v>
      </c>
      <c r="M17" s="27">
        <f>L17*(1+Assumptions!$C$18)</f>
        <v>40025.805464192039</v>
      </c>
    </row>
    <row r="18" spans="1:13" x14ac:dyDescent="0.25">
      <c r="A18" s="11" t="s">
        <v>54</v>
      </c>
      <c r="B18" s="28">
        <f>B16*(1-Assumptions!$B$8)-B17</f>
        <v>-12200</v>
      </c>
      <c r="C18" s="28">
        <f>C16*(1-Assumptions!$B$8)-C17</f>
        <v>-11170</v>
      </c>
      <c r="D18" s="28">
        <f>D16*(1-Assumptions!$B$8)-D17</f>
        <v>-9871.1000000000022</v>
      </c>
      <c r="E18" s="28">
        <f>E16*(1-Assumptions!$B$8)-E17</f>
        <v>-8258.3890000000065</v>
      </c>
      <c r="F18" s="28">
        <f>F16*(1-Assumptions!$B$8)-F17</f>
        <v>-6280.0363100000068</v>
      </c>
      <c r="G18" s="28">
        <f>G16*(1-Assumptions!$B$8)-G17</f>
        <v>-3876.2462749000115</v>
      </c>
      <c r="H18" s="28">
        <f>H16*(1-Assumptions!$B$8)-H17</f>
        <v>-978.05591527101933</v>
      </c>
      <c r="I18" s="28">
        <f>I16*(1-Assumptions!$B$8)-I17</f>
        <v>2494.0480903368807</v>
      </c>
      <c r="J18" s="28">
        <f>J16*(1-Assumptions!$B$8)-J17</f>
        <v>6631.7201925019181</v>
      </c>
      <c r="K18" s="28">
        <f>K16*(1-Assumptions!$B$8)-K17</f>
        <v>11540.585705536279</v>
      </c>
      <c r="L18" s="28">
        <f>L16*(1-Assumptions!$B$8)-L17</f>
        <v>17342.345344892172</v>
      </c>
      <c r="M18" s="28">
        <f>M16*(1-Assumptions!$B$8)-M17</f>
        <v>24177.195801492453</v>
      </c>
    </row>
    <row r="19" spans="1:13" x14ac:dyDescent="0.25">
      <c r="A19" s="14" t="s">
        <v>55</v>
      </c>
      <c r="B19" s="27">
        <f>B16*Assumptions!$B$9/30</f>
        <v>17250</v>
      </c>
      <c r="C19" s="27">
        <f>C16*Assumptions!$B$9/30</f>
        <v>19837.5</v>
      </c>
      <c r="D19" s="27">
        <f>D16*Assumptions!$B$9/30</f>
        <v>22813.125</v>
      </c>
      <c r="E19" s="27">
        <f>E16*Assumptions!$B$9/30</f>
        <v>26235.093749999996</v>
      </c>
      <c r="F19" s="27">
        <f>F16*Assumptions!$B$9/30</f>
        <v>30170.357812499995</v>
      </c>
      <c r="G19" s="27">
        <f>G16*Assumptions!$B$9/30</f>
        <v>34695.911484374992</v>
      </c>
      <c r="H19" s="27">
        <f>H16*Assumptions!$B$9/30</f>
        <v>39900.298207031236</v>
      </c>
      <c r="I19" s="27">
        <f>I16*Assumptions!$B$9/30</f>
        <v>45885.342938085916</v>
      </c>
      <c r="J19" s="27">
        <f>J16*Assumptions!$B$9/30</f>
        <v>52768.144378798803</v>
      </c>
      <c r="K19" s="27">
        <f>K16*Assumptions!$B$9/30</f>
        <v>60683.366035618616</v>
      </c>
      <c r="L19" s="27">
        <f>L16*Assumptions!$B$9/30</f>
        <v>69785.870940961409</v>
      </c>
      <c r="M19" s="27">
        <f>M16*Assumptions!$B$9/30</f>
        <v>80253.751582105615</v>
      </c>
    </row>
    <row r="20" spans="1:13" x14ac:dyDescent="0.25">
      <c r="A20" s="14" t="s">
        <v>56</v>
      </c>
      <c r="B20" s="27">
        <f>B17*Assumptions!$B$10/30</f>
        <v>13000</v>
      </c>
      <c r="C20" s="27">
        <f>C17*Assumptions!$B$10/30</f>
        <v>13520</v>
      </c>
      <c r="D20" s="27">
        <f>D17*Assumptions!$B$10/30</f>
        <v>14060.800000000001</v>
      </c>
      <c r="E20" s="27">
        <f>E17*Assumptions!$B$10/30</f>
        <v>14623.232000000002</v>
      </c>
      <c r="F20" s="27">
        <f>F17*Assumptions!$B$10/30</f>
        <v>15208.161280000002</v>
      </c>
      <c r="G20" s="27">
        <f>G17*Assumptions!$B$10/30</f>
        <v>15816.487731200003</v>
      </c>
      <c r="H20" s="27">
        <f>H17*Assumptions!$B$10/30</f>
        <v>16449.147240448005</v>
      </c>
      <c r="I20" s="27">
        <f>I17*Assumptions!$B$10/30</f>
        <v>17107.113130065925</v>
      </c>
      <c r="J20" s="27">
        <f>J17*Assumptions!$B$10/30</f>
        <v>17791.397655268564</v>
      </c>
      <c r="K20" s="27">
        <f>K17*Assumptions!$B$10/30</f>
        <v>18503.053561479308</v>
      </c>
      <c r="L20" s="27">
        <f>L17*Assumptions!$B$10/30</f>
        <v>19243.175703938479</v>
      </c>
      <c r="M20" s="27">
        <f>M17*Assumptions!$B$10/30</f>
        <v>20012.902732096019</v>
      </c>
    </row>
    <row r="21" spans="1:13" x14ac:dyDescent="0.25">
      <c r="A21" s="11" t="s">
        <v>57</v>
      </c>
      <c r="B21" s="28">
        <f>Assumptions!$B$5+B18-(B19-(Assumptions!$B$6*Assumptions!$B$9/30))+(B20-(Assumptions!$B$7*Assumptions!$B$10/30))</f>
        <v>236050</v>
      </c>
      <c r="C21" s="28">
        <f t="shared" ref="C21:M21" si="3">B21+C18-(C19-B19)+(C20-B20)</f>
        <v>222812.5</v>
      </c>
      <c r="D21" s="28">
        <f t="shared" si="3"/>
        <v>210506.57499999998</v>
      </c>
      <c r="E21" s="28">
        <f t="shared" si="3"/>
        <v>199388.64924999999</v>
      </c>
      <c r="F21" s="28">
        <f t="shared" si="3"/>
        <v>189758.2781575</v>
      </c>
      <c r="G21" s="28">
        <f t="shared" si="3"/>
        <v>181964.80466192498</v>
      </c>
      <c r="H21" s="28">
        <f t="shared" si="3"/>
        <v>176415.02153324572</v>
      </c>
      <c r="I21" s="28">
        <f t="shared" si="3"/>
        <v>173581.99078214582</v>
      </c>
      <c r="J21" s="28">
        <f t="shared" si="3"/>
        <v>174015.19405913749</v>
      </c>
      <c r="K21" s="28">
        <f t="shared" si="3"/>
        <v>178352.2140140647</v>
      </c>
      <c r="L21" s="28">
        <f t="shared" si="3"/>
        <v>187332.17659607326</v>
      </c>
      <c r="M21" s="28">
        <f t="shared" si="3"/>
        <v>201811.21878457905</v>
      </c>
    </row>
    <row r="22" spans="1:13" x14ac:dyDescent="0.25">
      <c r="A22" s="29" t="s">
        <v>58</v>
      </c>
      <c r="B22" s="30">
        <f t="shared" ref="B22:M22" si="4">IF(B18&gt;=0,1,0)</f>
        <v>0</v>
      </c>
      <c r="C22" s="30">
        <f t="shared" si="4"/>
        <v>0</v>
      </c>
      <c r="D22" s="30">
        <f t="shared" si="4"/>
        <v>0</v>
      </c>
      <c r="E22" s="30">
        <f t="shared" si="4"/>
        <v>0</v>
      </c>
      <c r="F22" s="30">
        <f t="shared" si="4"/>
        <v>0</v>
      </c>
      <c r="G22" s="30">
        <f t="shared" si="4"/>
        <v>0</v>
      </c>
      <c r="H22" s="30">
        <f t="shared" si="4"/>
        <v>0</v>
      </c>
      <c r="I22" s="30">
        <f t="shared" si="4"/>
        <v>1</v>
      </c>
      <c r="J22" s="30">
        <f t="shared" si="4"/>
        <v>1</v>
      </c>
      <c r="K22" s="30">
        <f t="shared" si="4"/>
        <v>1</v>
      </c>
      <c r="L22" s="30">
        <f t="shared" si="4"/>
        <v>1</v>
      </c>
      <c r="M22" s="30">
        <f t="shared" si="4"/>
        <v>1</v>
      </c>
    </row>
    <row r="23" spans="1:13" x14ac:dyDescent="0.25">
      <c r="A23" s="29" t="s">
        <v>59</v>
      </c>
      <c r="B23" s="30">
        <f t="shared" ref="B23:M23" si="5">IF(B21&lt;=0,1,0)</f>
        <v>0</v>
      </c>
      <c r="C23" s="30">
        <f t="shared" si="5"/>
        <v>0</v>
      </c>
      <c r="D23" s="30">
        <f t="shared" si="5"/>
        <v>0</v>
      </c>
      <c r="E23" s="30">
        <f t="shared" si="5"/>
        <v>0</v>
      </c>
      <c r="F23" s="30">
        <f t="shared" si="5"/>
        <v>0</v>
      </c>
      <c r="G23" s="30">
        <f t="shared" si="5"/>
        <v>0</v>
      </c>
      <c r="H23" s="30">
        <f t="shared" si="5"/>
        <v>0</v>
      </c>
      <c r="I23" s="30">
        <f t="shared" si="5"/>
        <v>0</v>
      </c>
      <c r="J23" s="30">
        <f t="shared" si="5"/>
        <v>0</v>
      </c>
      <c r="K23" s="30">
        <f t="shared" si="5"/>
        <v>0</v>
      </c>
      <c r="L23" s="30">
        <f t="shared" si="5"/>
        <v>0</v>
      </c>
      <c r="M23" s="30">
        <f t="shared" si="5"/>
        <v>0</v>
      </c>
    </row>
    <row r="25" spans="1:13" ht="15.75" x14ac:dyDescent="0.25">
      <c r="A25" s="3" t="s">
        <v>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14" t="s">
        <v>52</v>
      </c>
      <c r="B26" s="27">
        <f>Assumptions!$B$6*(1+Assumptions!$D$17)</f>
        <v>15300</v>
      </c>
      <c r="C26" s="27">
        <f>B26*(1+Assumptions!$D$17)</f>
        <v>15606</v>
      </c>
      <c r="D26" s="27">
        <f>C26*(1+Assumptions!$D$17)</f>
        <v>15918.12</v>
      </c>
      <c r="E26" s="27">
        <f>D26*(1+Assumptions!$D$17)</f>
        <v>16236.482400000001</v>
      </c>
      <c r="F26" s="27">
        <f>E26*(1+Assumptions!$D$17)</f>
        <v>16561.212048000001</v>
      </c>
      <c r="G26" s="27">
        <f>F26*(1+Assumptions!$D$17)</f>
        <v>16892.436288960002</v>
      </c>
      <c r="H26" s="27">
        <f>G26*(1+Assumptions!$D$17)</f>
        <v>17230.285014739202</v>
      </c>
      <c r="I26" s="27">
        <f>H26*(1+Assumptions!$D$17)</f>
        <v>17574.890715033987</v>
      </c>
      <c r="J26" s="27">
        <f>I26*(1+Assumptions!$D$17)</f>
        <v>17926.388529334668</v>
      </c>
      <c r="K26" s="27">
        <f>J26*(1+Assumptions!$D$17)</f>
        <v>18284.916299921362</v>
      </c>
      <c r="L26" s="27">
        <f>K26*(1+Assumptions!$D$17)</f>
        <v>18650.614625919789</v>
      </c>
      <c r="M26" s="27">
        <f>L26*(1+Assumptions!$D$17)</f>
        <v>19023.626918438185</v>
      </c>
    </row>
    <row r="27" spans="1:13" x14ac:dyDescent="0.25">
      <c r="A27" s="14" t="s">
        <v>53</v>
      </c>
      <c r="B27" s="27">
        <f>Assumptions!$B$7*(1+Assumptions!$D$18)</f>
        <v>27000</v>
      </c>
      <c r="C27" s="27">
        <f>B27*(1+Assumptions!$D$18)</f>
        <v>29160.000000000004</v>
      </c>
      <c r="D27" s="27">
        <f>C27*(1+Assumptions!$D$18)</f>
        <v>31492.800000000007</v>
      </c>
      <c r="E27" s="27">
        <f>D27*(1+Assumptions!$D$18)</f>
        <v>34012.224000000009</v>
      </c>
      <c r="F27" s="27">
        <f>E27*(1+Assumptions!$D$18)</f>
        <v>36733.201920000014</v>
      </c>
      <c r="G27" s="27">
        <f>F27*(1+Assumptions!$D$18)</f>
        <v>39671.858073600015</v>
      </c>
      <c r="H27" s="27">
        <f>G27*(1+Assumptions!$D$18)</f>
        <v>42845.606719488016</v>
      </c>
      <c r="I27" s="27">
        <f>H27*(1+Assumptions!$D$18)</f>
        <v>46273.255257047058</v>
      </c>
      <c r="J27" s="27">
        <f>I27*(1+Assumptions!$D$18)</f>
        <v>49975.115677610826</v>
      </c>
      <c r="K27" s="27">
        <f>J27*(1+Assumptions!$D$18)</f>
        <v>53973.124931819693</v>
      </c>
      <c r="L27" s="27">
        <f>K27*(1+Assumptions!$D$18)</f>
        <v>58290.97492636527</v>
      </c>
      <c r="M27" s="27">
        <f>L27*(1+Assumptions!$D$18)</f>
        <v>62954.252920474493</v>
      </c>
    </row>
    <row r="28" spans="1:13" x14ac:dyDescent="0.25">
      <c r="A28" s="11" t="s">
        <v>54</v>
      </c>
      <c r="B28" s="28">
        <f>B26*(1-Assumptions!$B$8)-B27</f>
        <v>-14760</v>
      </c>
      <c r="C28" s="28">
        <f>C26*(1-Assumptions!$B$8)-C27</f>
        <v>-16675.200000000004</v>
      </c>
      <c r="D28" s="28">
        <f>D26*(1-Assumptions!$B$8)-D27</f>
        <v>-18758.304000000004</v>
      </c>
      <c r="E28" s="28">
        <f>E26*(1-Assumptions!$B$8)-E27</f>
        <v>-21023.038080000006</v>
      </c>
      <c r="F28" s="28">
        <f>F26*(1-Assumptions!$B$8)-F27</f>
        <v>-23484.232281600012</v>
      </c>
      <c r="G28" s="28">
        <f>G26*(1-Assumptions!$B$8)-G27</f>
        <v>-26157.909042432013</v>
      </c>
      <c r="H28" s="28">
        <f>H26*(1-Assumptions!$B$8)-H27</f>
        <v>-29061.378707696655</v>
      </c>
      <c r="I28" s="28">
        <f>I26*(1-Assumptions!$B$8)-I27</f>
        <v>-32213.342685019867</v>
      </c>
      <c r="J28" s="28">
        <f>J26*(1-Assumptions!$B$8)-J27</f>
        <v>-35634.004854143088</v>
      </c>
      <c r="K28" s="28">
        <f>K26*(1-Assumptions!$B$8)-K27</f>
        <v>-39345.191891882605</v>
      </c>
      <c r="L28" s="28">
        <f>L26*(1-Assumptions!$B$8)-L27</f>
        <v>-43370.483225629439</v>
      </c>
      <c r="M28" s="28">
        <f>M26*(1-Assumptions!$B$8)-M27</f>
        <v>-47735.351385723945</v>
      </c>
    </row>
    <row r="29" spans="1:13" x14ac:dyDescent="0.25">
      <c r="A29" s="14" t="s">
        <v>55</v>
      </c>
      <c r="B29" s="27">
        <f>B26*Assumptions!$B$9/30</f>
        <v>15300</v>
      </c>
      <c r="C29" s="27">
        <f>C26*Assumptions!$B$9/30</f>
        <v>15606</v>
      </c>
      <c r="D29" s="27">
        <f>D26*Assumptions!$B$9/30</f>
        <v>15918.12</v>
      </c>
      <c r="E29" s="27">
        <f>E26*Assumptions!$B$9/30</f>
        <v>16236.482400000001</v>
      </c>
      <c r="F29" s="27">
        <f>F26*Assumptions!$B$9/30</f>
        <v>16561.212048000001</v>
      </c>
      <c r="G29" s="27">
        <f>G26*Assumptions!$B$9/30</f>
        <v>16892.436288960002</v>
      </c>
      <c r="H29" s="27">
        <f>H26*Assumptions!$B$9/30</f>
        <v>17230.285014739202</v>
      </c>
      <c r="I29" s="27">
        <f>I26*Assumptions!$B$9/30</f>
        <v>17574.890715033987</v>
      </c>
      <c r="J29" s="27">
        <f>J26*Assumptions!$B$9/30</f>
        <v>17926.388529334668</v>
      </c>
      <c r="K29" s="27">
        <f>K26*Assumptions!$B$9/30</f>
        <v>18284.916299921362</v>
      </c>
      <c r="L29" s="27">
        <f>L26*Assumptions!$B$9/30</f>
        <v>18650.614625919789</v>
      </c>
      <c r="M29" s="27">
        <f>M26*Assumptions!$B$9/30</f>
        <v>19023.626918438185</v>
      </c>
    </row>
    <row r="30" spans="1:13" x14ac:dyDescent="0.25">
      <c r="A30" s="14" t="s">
        <v>56</v>
      </c>
      <c r="B30" s="27">
        <f>B27*Assumptions!$B$10/30</f>
        <v>13500</v>
      </c>
      <c r="C30" s="27">
        <f>C27*Assumptions!$B$10/30</f>
        <v>14580.000000000002</v>
      </c>
      <c r="D30" s="27">
        <f>D27*Assumptions!$B$10/30</f>
        <v>15746.400000000003</v>
      </c>
      <c r="E30" s="27">
        <f>E27*Assumptions!$B$10/30</f>
        <v>17006.112000000005</v>
      </c>
      <c r="F30" s="27">
        <f>F27*Assumptions!$B$10/30</f>
        <v>18366.600960000007</v>
      </c>
      <c r="G30" s="27">
        <f>G27*Assumptions!$B$10/30</f>
        <v>19835.929036800007</v>
      </c>
      <c r="H30" s="27">
        <f>H27*Assumptions!$B$10/30</f>
        <v>21422.803359744008</v>
      </c>
      <c r="I30" s="27">
        <f>I27*Assumptions!$B$10/30</f>
        <v>23136.627628523529</v>
      </c>
      <c r="J30" s="27">
        <f>J27*Assumptions!$B$10/30</f>
        <v>24987.557838805413</v>
      </c>
      <c r="K30" s="27">
        <f>K27*Assumptions!$B$10/30</f>
        <v>26986.562465909847</v>
      </c>
      <c r="L30" s="27">
        <f>L27*Assumptions!$B$10/30</f>
        <v>29145.487463182635</v>
      </c>
      <c r="M30" s="27">
        <f>M27*Assumptions!$B$10/30</f>
        <v>31477.126460237247</v>
      </c>
    </row>
    <row r="31" spans="1:13" x14ac:dyDescent="0.25">
      <c r="A31" s="11" t="s">
        <v>57</v>
      </c>
      <c r="B31" s="28">
        <f>Assumptions!$B$5+B28-(B29-(Assumptions!$B$6*Assumptions!$B$9/30))+(B30-(Assumptions!$B$7*Assumptions!$B$10/30))</f>
        <v>235940</v>
      </c>
      <c r="C31" s="28">
        <f t="shared" ref="C31:M31" si="6">B31+C28-(C29-B29)+(C30-B30)</f>
        <v>220038.8</v>
      </c>
      <c r="D31" s="28">
        <f t="shared" si="6"/>
        <v>202134.77599999998</v>
      </c>
      <c r="E31" s="28">
        <f t="shared" si="6"/>
        <v>182053.08751999997</v>
      </c>
      <c r="F31" s="28">
        <f t="shared" si="6"/>
        <v>159604.61455039994</v>
      </c>
      <c r="G31" s="28">
        <f t="shared" si="6"/>
        <v>134584.80934380795</v>
      </c>
      <c r="H31" s="28">
        <f t="shared" si="6"/>
        <v>106772.4562332761</v>
      </c>
      <c r="I31" s="28">
        <f t="shared" si="6"/>
        <v>75928.332116740959</v>
      </c>
      <c r="J31" s="28">
        <f t="shared" si="6"/>
        <v>41793.759658579074</v>
      </c>
      <c r="K31" s="28">
        <f t="shared" si="6"/>
        <v>4089.0446232142094</v>
      </c>
      <c r="L31" s="28">
        <f t="shared" si="6"/>
        <v>-37488.211931140875</v>
      </c>
      <c r="M31" s="28">
        <f t="shared" si="6"/>
        <v>-83264.936612328602</v>
      </c>
    </row>
    <row r="32" spans="1:13" x14ac:dyDescent="0.25">
      <c r="A32" s="29" t="s">
        <v>58</v>
      </c>
      <c r="B32" s="30">
        <f t="shared" ref="B32:M32" si="7">IF(B28&gt;=0,1,0)</f>
        <v>0</v>
      </c>
      <c r="C32" s="30">
        <f t="shared" si="7"/>
        <v>0</v>
      </c>
      <c r="D32" s="30">
        <f t="shared" si="7"/>
        <v>0</v>
      </c>
      <c r="E32" s="30">
        <f t="shared" si="7"/>
        <v>0</v>
      </c>
      <c r="F32" s="30">
        <f t="shared" si="7"/>
        <v>0</v>
      </c>
      <c r="G32" s="30">
        <f t="shared" si="7"/>
        <v>0</v>
      </c>
      <c r="H32" s="30">
        <f t="shared" si="7"/>
        <v>0</v>
      </c>
      <c r="I32" s="30">
        <f t="shared" si="7"/>
        <v>0</v>
      </c>
      <c r="J32" s="30">
        <f t="shared" si="7"/>
        <v>0</v>
      </c>
      <c r="K32" s="30">
        <f t="shared" si="7"/>
        <v>0</v>
      </c>
      <c r="L32" s="30">
        <f t="shared" si="7"/>
        <v>0</v>
      </c>
      <c r="M32" s="30">
        <f t="shared" si="7"/>
        <v>0</v>
      </c>
    </row>
    <row r="33" spans="1:13" x14ac:dyDescent="0.25">
      <c r="A33" s="29" t="s">
        <v>59</v>
      </c>
      <c r="B33" s="30">
        <f t="shared" ref="B33:M33" si="8">IF(B31&lt;=0,1,0)</f>
        <v>0</v>
      </c>
      <c r="C33" s="30">
        <f t="shared" si="8"/>
        <v>0</v>
      </c>
      <c r="D33" s="30">
        <f t="shared" si="8"/>
        <v>0</v>
      </c>
      <c r="E33" s="30">
        <f t="shared" si="8"/>
        <v>0</v>
      </c>
      <c r="F33" s="30">
        <f t="shared" si="8"/>
        <v>0</v>
      </c>
      <c r="G33" s="30">
        <f t="shared" si="8"/>
        <v>0</v>
      </c>
      <c r="H33" s="30">
        <f t="shared" si="8"/>
        <v>0</v>
      </c>
      <c r="I33" s="30">
        <f t="shared" si="8"/>
        <v>0</v>
      </c>
      <c r="J33" s="30">
        <f t="shared" si="8"/>
        <v>0</v>
      </c>
      <c r="K33" s="30">
        <f t="shared" si="8"/>
        <v>0</v>
      </c>
      <c r="L33" s="30">
        <f t="shared" si="8"/>
        <v>1</v>
      </c>
      <c r="M33" s="30">
        <f t="shared" si="8"/>
        <v>1</v>
      </c>
    </row>
  </sheetData>
  <sheetProtection sheet="1" formatCells="0" formatColumns="0" formatRows="0" insertColumns="0" insertRows="0" deleteColumns="0" deleteRows="0" selectLockedCells="1" sort="0" autoFilter="0" selectUnlockedCells="1"/>
  <mergeCells count="5">
    <mergeCell ref="A1:M1"/>
    <mergeCell ref="A2:M2"/>
    <mergeCell ref="A5:M5"/>
    <mergeCell ref="A15:M15"/>
    <mergeCell ref="A25:M25"/>
  </mergeCells>
  <hyperlinks>
    <hyperlink ref="A2" r:id="rId1" xr:uid="{00000000-0004-0000-02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showGridLines="0" zoomScaleNormal="100" workbookViewId="0">
      <selection sqref="A1:D1"/>
    </sheetView>
  </sheetViews>
  <sheetFormatPr defaultColWidth="8.7109375" defaultRowHeight="15" x14ac:dyDescent="0.25"/>
  <cols>
    <col min="1" max="1" width="30" customWidth="1"/>
    <col min="2" max="4" width="18" customWidth="1"/>
  </cols>
  <sheetData>
    <row r="1" spans="1:4" ht="24" customHeight="1" x14ac:dyDescent="0.25">
      <c r="A1" s="8" t="s">
        <v>0</v>
      </c>
      <c r="B1" s="8"/>
      <c r="C1" s="8"/>
      <c r="D1" s="8"/>
    </row>
    <row r="2" spans="1:4" x14ac:dyDescent="0.25">
      <c r="A2" s="7" t="s">
        <v>1</v>
      </c>
      <c r="B2" s="7"/>
      <c r="C2" s="7"/>
      <c r="D2" s="7"/>
    </row>
    <row r="4" spans="1:4" ht="15.75" x14ac:dyDescent="0.25">
      <c r="A4" s="25" t="s">
        <v>62</v>
      </c>
      <c r="B4" s="22" t="s">
        <v>63</v>
      </c>
      <c r="C4" s="23" t="s">
        <v>64</v>
      </c>
      <c r="D4" s="24" t="s">
        <v>65</v>
      </c>
    </row>
    <row r="5" spans="1:4" x14ac:dyDescent="0.25">
      <c r="A5" s="14" t="s">
        <v>66</v>
      </c>
      <c r="B5" s="28">
        <f>'12-Month Projection'!$M$11</f>
        <v>90012.967835493298</v>
      </c>
      <c r="C5" s="28">
        <f>'12-Month Projection'!$M$21</f>
        <v>201811.21878457905</v>
      </c>
      <c r="D5" s="28">
        <f>'12-Month Projection'!$M$31</f>
        <v>-83264.936612328602</v>
      </c>
    </row>
    <row r="6" spans="1:4" x14ac:dyDescent="0.25">
      <c r="A6" s="14" t="s">
        <v>67</v>
      </c>
      <c r="B6" s="28">
        <f>SUM('12-Month Projection'!$B$6:$M$6)</f>
        <v>307429.44865584327</v>
      </c>
      <c r="C6" s="28">
        <f>SUM('12-Month Projection'!$B$16:$M$16)</f>
        <v>500278.76212947664</v>
      </c>
      <c r="D6" s="28">
        <f>SUM('12-Month Projection'!$B$26:$M$26)</f>
        <v>205204.97284034718</v>
      </c>
    </row>
    <row r="7" spans="1:4" x14ac:dyDescent="0.25">
      <c r="A7" s="14" t="s">
        <v>68</v>
      </c>
      <c r="B7" s="28">
        <f>SUM('12-Month Projection'!$B$8:$M$8)</f>
        <v>-144727.38314431795</v>
      </c>
      <c r="C7" s="28">
        <f>SUM('12-Month Projection'!$B$18:$M$18)</f>
        <v>9552.0676345886459</v>
      </c>
      <c r="D7" s="28">
        <f>SUM('12-Month Projection'!$B$28:$M$28)</f>
        <v>-348218.4361541277</v>
      </c>
    </row>
    <row r="8" spans="1:4" x14ac:dyDescent="0.25">
      <c r="A8" s="14" t="s">
        <v>69</v>
      </c>
      <c r="B8" s="31">
        <f>1-Assumptions!$B$8</f>
        <v>0.8</v>
      </c>
      <c r="C8" s="31">
        <f>1-Assumptions!$B$8</f>
        <v>0.8</v>
      </c>
      <c r="D8" s="31">
        <f>1-Assumptions!$B$8</f>
        <v>0.8</v>
      </c>
    </row>
    <row r="9" spans="1:4" x14ac:dyDescent="0.25">
      <c r="A9" s="14" t="s">
        <v>70</v>
      </c>
      <c r="B9" s="31">
        <f>B7/B6</f>
        <v>-0.47076616692740875</v>
      </c>
      <c r="C9" s="31">
        <f>C7/C6</f>
        <v>1.9093490185210952E-2</v>
      </c>
      <c r="D9" s="31">
        <f>D7/D6</f>
        <v>-1.6969298128318135</v>
      </c>
    </row>
    <row r="10" spans="1:4" x14ac:dyDescent="0.25">
      <c r="A10" s="14" t="s">
        <v>71</v>
      </c>
      <c r="B10" s="32" t="str">
        <f>IFERROR(MATCH(1,'12-Month Projection'!$B$13:$M$13,0),"&gt;12 months")</f>
        <v>&gt;12 months</v>
      </c>
      <c r="C10" s="32" t="str">
        <f>IFERROR(MATCH(1,'12-Month Projection'!$B$23:$M$23,0),"&gt;12 months")</f>
        <v>&gt;12 months</v>
      </c>
      <c r="D10" s="32">
        <f>IFERROR(MATCH(1,'12-Month Projection'!$B$33:$M$33,0),"&gt;12 months")</f>
        <v>11</v>
      </c>
    </row>
    <row r="11" spans="1:4" x14ac:dyDescent="0.25">
      <c r="A11" s="14" t="s">
        <v>72</v>
      </c>
      <c r="B11" s="32" t="str">
        <f>IFERROR(MATCH(1,'12-Month Projection'!$B$12:$M$12,0),"Not within 12mo")</f>
        <v>Not within 12mo</v>
      </c>
      <c r="C11" s="32">
        <f>IFERROR(MATCH(1,'12-Month Projection'!$B$22:$M$22,0),"Not within 12mo")</f>
        <v>8</v>
      </c>
      <c r="D11" s="32" t="str">
        <f>IFERROR(MATCH(1,'12-Month Projection'!$B$32:$M$32,0),"Not within 12mo")</f>
        <v>Not within 12mo</v>
      </c>
    </row>
    <row r="12" spans="1:4" x14ac:dyDescent="0.25">
      <c r="A12" s="14" t="s">
        <v>73</v>
      </c>
      <c r="B12" s="33">
        <f>IF(('12-Month Projection'!$M$6-'12-Month Projection'!$B$6)&gt;0,(-B7/12)/(('12-Month Projection'!$M$6-'12-Month Projection'!$B$6)/12),"N/A")</f>
        <v>6.7088671199497814</v>
      </c>
      <c r="C12" s="33">
        <f>IF(('12-Month Projection'!$M$16-'12-Month Projection'!$B$16)&gt;0,(-C7/12)/(('12-Month Projection'!$M$16-'12-Month Projection'!$B$16)/12),"N/A")</f>
        <v>-0.15161109290675373</v>
      </c>
      <c r="D12" s="33">
        <f>IF(('12-Month Projection'!$M$26-'12-Month Projection'!$B$26)&gt;0,(-D7/12)/(('12-Month Projection'!$M$26-'12-Month Projection'!$B$26)/12),"N/A")</f>
        <v>93.515930511153968</v>
      </c>
    </row>
    <row r="15" spans="1:4" ht="45" customHeight="1" x14ac:dyDescent="0.25">
      <c r="A15" s="2" t="s">
        <v>74</v>
      </c>
      <c r="B15" s="2"/>
      <c r="C15" s="2"/>
      <c r="D15" s="2"/>
    </row>
  </sheetData>
  <sheetProtection sheet="1" formatCells="0" formatColumns="0" formatRows="0" insertColumns="0" insertRows="0" deleteColumns="0" deleteRows="0" selectLockedCells="1" sort="0" autoFilter="0" selectUnlockedCells="1"/>
  <mergeCells count="3">
    <mergeCell ref="A1:D1"/>
    <mergeCell ref="A2:D2"/>
    <mergeCell ref="A15:D15"/>
  </mergeCells>
  <hyperlinks>
    <hyperlink ref="A2" r:id="rId1" xr:uid="{00000000-0004-0000-03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showGridLines="0" zoomScaleNormal="100" workbookViewId="0">
      <selection sqref="A1:D1"/>
    </sheetView>
  </sheetViews>
  <sheetFormatPr defaultColWidth="8.7109375" defaultRowHeight="15" x14ac:dyDescent="0.25"/>
  <cols>
    <col min="1" max="1" width="30" customWidth="1"/>
    <col min="2" max="4" width="18" customWidth="1"/>
  </cols>
  <sheetData>
    <row r="1" spans="1:4" ht="24" customHeight="1" x14ac:dyDescent="0.25">
      <c r="A1" s="8" t="s">
        <v>0</v>
      </c>
      <c r="B1" s="8"/>
      <c r="C1" s="8"/>
      <c r="D1" s="8"/>
    </row>
    <row r="2" spans="1:4" x14ac:dyDescent="0.25">
      <c r="A2" s="7" t="s">
        <v>1</v>
      </c>
      <c r="B2" s="7"/>
      <c r="C2" s="7"/>
      <c r="D2" s="7"/>
    </row>
    <row r="4" spans="1:4" ht="15" customHeight="1" x14ac:dyDescent="0.25">
      <c r="A4" s="1" t="s">
        <v>75</v>
      </c>
      <c r="B4" s="1"/>
      <c r="C4" s="1"/>
      <c r="D4" s="1"/>
    </row>
    <row r="6" spans="1:4" ht="15.75" x14ac:dyDescent="0.25">
      <c r="A6" s="25" t="s">
        <v>76</v>
      </c>
      <c r="B6" s="22" t="s">
        <v>63</v>
      </c>
      <c r="C6" s="23" t="s">
        <v>64</v>
      </c>
      <c r="D6" s="24" t="s">
        <v>65</v>
      </c>
    </row>
    <row r="7" spans="1:4" x14ac:dyDescent="0.25">
      <c r="A7" s="11" t="s">
        <v>77</v>
      </c>
    </row>
    <row r="8" spans="1:4" x14ac:dyDescent="0.25">
      <c r="A8" s="11" t="s">
        <v>78</v>
      </c>
      <c r="B8" s="27">
        <f>'12-Month Projection'!$M$11</f>
        <v>90012.967835493298</v>
      </c>
      <c r="C8" s="27">
        <f>'12-Month Projection'!$M$21</f>
        <v>201811.21878457905</v>
      </c>
      <c r="D8" s="27">
        <f>'12-Month Projection'!$M$31</f>
        <v>-83264.936612328602</v>
      </c>
    </row>
    <row r="9" spans="1:4" x14ac:dyDescent="0.25">
      <c r="A9" s="11" t="s">
        <v>79</v>
      </c>
      <c r="B9" s="27">
        <f>'12-Month Projection'!$M$9</f>
        <v>37772.551752284715</v>
      </c>
      <c r="C9" s="27">
        <f>'12-Month Projection'!$M$19</f>
        <v>80253.751582105615</v>
      </c>
      <c r="D9" s="27">
        <f>'12-Month Projection'!$M$29</f>
        <v>19023.626918438185</v>
      </c>
    </row>
    <row r="10" spans="1:4" x14ac:dyDescent="0.25">
      <c r="A10" s="11" t="s">
        <v>80</v>
      </c>
      <c r="B10" s="34">
        <f>B8+B9</f>
        <v>127785.51958777802</v>
      </c>
      <c r="C10" s="34">
        <f>C8+C9</f>
        <v>282064.97036668466</v>
      </c>
      <c r="D10" s="34">
        <f>D8+D9</f>
        <v>-64241.30969389042</v>
      </c>
    </row>
    <row r="12" spans="1:4" x14ac:dyDescent="0.25">
      <c r="A12" s="11" t="s">
        <v>81</v>
      </c>
    </row>
    <row r="13" spans="1:4" x14ac:dyDescent="0.25">
      <c r="A13" s="11" t="s">
        <v>82</v>
      </c>
      <c r="B13" s="27">
        <f>'12-Month Projection'!$M$10</f>
        <v>20012.902732096019</v>
      </c>
      <c r="C13" s="27">
        <f>'12-Month Projection'!$M$20</f>
        <v>20012.902732096019</v>
      </c>
      <c r="D13" s="27">
        <f>'12-Month Projection'!$M$30</f>
        <v>31477.126460237247</v>
      </c>
    </row>
    <row r="14" spans="1:4" x14ac:dyDescent="0.25">
      <c r="A14" s="11" t="s">
        <v>83</v>
      </c>
      <c r="B14" s="34">
        <f>B13</f>
        <v>20012.902732096019</v>
      </c>
      <c r="C14" s="34">
        <f>C13</f>
        <v>20012.902732096019</v>
      </c>
      <c r="D14" s="34">
        <f>D13</f>
        <v>31477.126460237247</v>
      </c>
    </row>
    <row r="16" spans="1:4" x14ac:dyDescent="0.25">
      <c r="A16" s="11" t="s">
        <v>84</v>
      </c>
    </row>
    <row r="17" spans="1:4" x14ac:dyDescent="0.25">
      <c r="A17" s="11" t="s">
        <v>85</v>
      </c>
      <c r="B17" s="34">
        <f>B10-B14</f>
        <v>107772.616855682</v>
      </c>
      <c r="C17" s="34">
        <f>C10-C14</f>
        <v>262052.06763458863</v>
      </c>
      <c r="D17" s="34">
        <f>D10-D14</f>
        <v>-95718.436154127674</v>
      </c>
    </row>
    <row r="20" spans="1:4" ht="45" customHeight="1" x14ac:dyDescent="0.25">
      <c r="A20" s="1" t="s">
        <v>86</v>
      </c>
      <c r="B20" s="1"/>
      <c r="C20" s="1"/>
      <c r="D20" s="1"/>
    </row>
  </sheetData>
  <sheetProtection sheet="1" formatCells="0" formatColumns="0" formatRows="0" insertColumns="0" insertRows="0" deleteColumns="0" deleteRows="0" selectLockedCells="1" sort="0" autoFilter="0" selectUnlockedCells="1"/>
  <mergeCells count="4">
    <mergeCell ref="A1:D1"/>
    <mergeCell ref="A2:D2"/>
    <mergeCell ref="A4:D4"/>
    <mergeCell ref="A20:D20"/>
  </mergeCells>
  <hyperlinks>
    <hyperlink ref="A2" r:id="rId1" xr:uid="{00000000-0004-0000-0400-000000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Assumptions</vt:lpstr>
      <vt:lpstr>12-Month Projection</vt:lpstr>
      <vt:lpstr>Summary Dashboard</vt:lpstr>
      <vt:lpstr>Balance Sheet Snapshot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muhammad pervaiz iqbal</cp:lastModifiedBy>
  <cp:revision>0</cp:revision>
  <dcterms:created xsi:type="dcterms:W3CDTF">2026-08-17T05:55:44Z</dcterms:created>
  <dcterms:modified xsi:type="dcterms:W3CDTF">2026-08-18T06:42:18Z</dcterms:modified>
  <dc:language>en-US</dc:language>
</cp:coreProperties>
</file>